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Raúl\Dropbox\elpreciounitario.com\COSTO  HORARIO\"/>
    </mc:Choice>
  </mc:AlternateContent>
  <workbookProtection workbookAlgorithmName="SHA-512" workbookHashValue="as73eV5ncpCaqe3zRk44vmNvalWqVlNrtMAd97mUmkyf+fEJbqdoXupyimMSjn7iocsaPXcpF91Brfg1dZsvFw==" workbookSaltValue="f086oEhhv6SgqpW2Z02tOA==" workbookSpinCount="100000" lockStructure="1"/>
  <bookViews>
    <workbookView xWindow="0" yWindow="0" windowWidth="20490" windowHeight="7050" tabRatio="599" activeTab="1"/>
  </bookViews>
  <sheets>
    <sheet name="INSTRUCCIONES DE USO" sheetId="14" r:id="rId1"/>
    <sheet name="COSTO HORARIO" sheetId="13" r:id="rId2"/>
  </sheets>
  <definedNames>
    <definedName name="_xlnm.Print_Area" localSheetId="1">'COSTO HORARIO'!$A$1:$K$76</definedName>
  </definedNames>
  <calcPr calcId="152511"/>
</workbook>
</file>

<file path=xl/calcChain.xml><?xml version="1.0" encoding="utf-8"?>
<calcChain xmlns="http://schemas.openxmlformats.org/spreadsheetml/2006/main">
  <c r="J34" i="13" l="1"/>
  <c r="D26" i="13"/>
  <c r="D24" i="13"/>
  <c r="D22" i="13" s="1"/>
  <c r="J14" i="13"/>
  <c r="D30" i="13"/>
  <c r="G57" i="13"/>
  <c r="K57" i="13" s="1"/>
  <c r="G59" i="13"/>
  <c r="I57" i="13" l="1"/>
  <c r="I59" i="13"/>
  <c r="K59" i="13"/>
  <c r="J30" i="13"/>
  <c r="J28" i="13" l="1"/>
  <c r="D66" i="13"/>
  <c r="J24" i="13"/>
  <c r="J36" i="13" s="1"/>
  <c r="A57" i="13"/>
  <c r="A59" i="13"/>
  <c r="G54" i="13" l="1"/>
  <c r="K54" i="13" s="1"/>
  <c r="G42" i="13"/>
  <c r="G40" i="13"/>
  <c r="G44" i="13"/>
  <c r="A40" i="13"/>
  <c r="G68" i="13"/>
  <c r="I54" i="13" l="1"/>
  <c r="G46" i="13"/>
  <c r="I40" i="13"/>
  <c r="A46" i="13"/>
  <c r="K40" i="13"/>
  <c r="K68" i="13"/>
  <c r="I68" i="13"/>
  <c r="I42" i="13" l="1"/>
  <c r="K42" i="13"/>
  <c r="A44" i="13"/>
  <c r="C68" i="13"/>
  <c r="D65" i="13"/>
  <c r="K20" i="13"/>
  <c r="K18" i="13"/>
  <c r="K44" i="13" l="1"/>
  <c r="I44" i="13"/>
  <c r="K46" i="13"/>
  <c r="I46" i="13"/>
  <c r="A54" i="13"/>
  <c r="A52" i="13"/>
  <c r="K70" i="13"/>
  <c r="G70" i="13"/>
  <c r="I70" i="13"/>
  <c r="G52" i="13"/>
  <c r="G61" i="13" s="1"/>
  <c r="A42" i="13" l="1"/>
  <c r="I52" i="13"/>
  <c r="I61" i="13" s="1"/>
  <c r="K52" i="13"/>
  <c r="K61" i="13" s="1"/>
  <c r="G48" i="13" l="1"/>
  <c r="G72" i="13" s="1"/>
  <c r="K48" i="13" l="1"/>
  <c r="K72" i="13" s="1"/>
  <c r="I48" i="13"/>
  <c r="I72" i="13" s="1"/>
</calcChain>
</file>

<file path=xl/comments1.xml><?xml version="1.0" encoding="utf-8"?>
<comments xmlns="http://schemas.openxmlformats.org/spreadsheetml/2006/main">
  <authors>
    <author>Raul</author>
    <author>Luis Raúl Rivera R.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 xml:space="preserve">INGRESAR LA TASA ANUAL DEL INDICADOR ENOCOMICO DE REFERENCIA 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INGRESAR LOS PUNTOS DE INTERMEDIACIÓN BANCARIA DE TU BANCO POR EL CRÉDITO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INDICAR TIPO DE COMBUSTIBLE DE LA LISTA DESPLEGABLE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Es el costo de la maquinaria o equipo considerado como nueva antes de IVA</t>
        </r>
      </text>
    </comment>
    <comment ref="J10" authorId="1" shapeId="0">
      <text>
        <r>
          <rPr>
            <b/>
            <sz val="9"/>
            <color indexed="81"/>
            <rFont val="Tahoma"/>
            <charset val="1"/>
          </rPr>
          <t>Vida económica de la máquina o equipo estimada por el contratista y expresada en años.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Es el costo de las llantas consideradas como nuevas antes de IVA</t>
        </r>
      </text>
    </comment>
    <comment ref="J12" authorId="1" shapeId="0">
      <text>
        <r>
          <rPr>
            <b/>
            <sz val="9"/>
            <color indexed="81"/>
            <rFont val="Tahoma"/>
            <charset val="1"/>
          </rPr>
          <t>Número de horas efectivas estimadas que la maquinaria o equipo trabaja anualmente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La vida económica de las llantas puede ser preguntada al fabricante o en base a la experiencia y observación. En horas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Es el costo de las piezas especiales consideradas como nuevas antes de IVA.</t>
        </r>
      </text>
    </comment>
    <comment ref="J16" authorId="1" shapeId="0">
      <text>
        <r>
          <rPr>
            <b/>
            <sz val="9"/>
            <color indexed="81"/>
            <rFont val="Tahoma"/>
            <charset val="1"/>
          </rPr>
          <t xml:space="preserve">Potencia Nominal bruta de la maquinaria o equipo. 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La vida económica de las piezas especiales puede ser preguntada al fabricante o en base a la experiencia y observación. En horas</t>
        </r>
      </text>
    </comment>
    <comment ref="J18" authorId="1" shapeId="0">
      <text>
        <r>
          <rPr>
            <b/>
            <sz val="9"/>
            <color indexed="81"/>
            <rFont val="Tahoma"/>
            <charset val="1"/>
          </rPr>
          <t>Es el precio por litro antes de IVA del combustible.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>
      <text>
        <r>
          <rPr>
            <b/>
            <sz val="11"/>
            <color theme="1"/>
            <rFont val="Calibri"/>
            <family val="2"/>
            <scheme val="minor"/>
          </rPr>
          <t>Es el porcentaje  de rescate esperado al vender la maquina o equipo al final de su vida económica sobre el valor de la maquina o equipo.</t>
        </r>
      </text>
    </comment>
    <comment ref="J20" authorId="1" shapeId="0">
      <text>
        <r>
          <rPr>
            <b/>
            <sz val="9"/>
            <color indexed="81"/>
            <rFont val="Tahoma"/>
            <charset val="1"/>
          </rPr>
          <t>Es el precio por litro antes de IVA del aceite lubricante para el motor.</t>
        </r>
      </text>
    </comment>
    <comment ref="J22" authorId="1" shapeId="0">
      <text>
        <r>
          <rPr>
            <b/>
            <sz val="9"/>
            <color indexed="81"/>
            <rFont val="Tahoma"/>
            <charset val="1"/>
          </rPr>
          <t>Es un porcentaje de  la potencia nominal a la cual se espera trabaje el equipo.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6" authorId="1" shapeId="0">
      <text>
        <r>
          <rPr>
            <b/>
            <sz val="9"/>
            <color indexed="81"/>
            <rFont val="Tahoma"/>
            <family val="2"/>
          </rPr>
          <t>Es el coeficiente que considera el mantenimiento como una fracción de la depreciación. Se propone conforme a la experiencia y datos estadísticos del contratista.</t>
        </r>
      </text>
    </comment>
    <comment ref="D28" authorId="1" shapeId="0">
      <text>
        <r>
          <rPr>
            <b/>
            <sz val="9"/>
            <color indexed="81"/>
            <rFont val="Tahoma"/>
            <charset val="1"/>
          </rPr>
          <t xml:space="preserve">Prima de seguros promedio, puede ser el promedio cobrado por una aseguradora o de los gastos absorbidos por el contratista.
</t>
        </r>
      </text>
    </comment>
    <comment ref="D32" authorId="1" shapeId="0">
      <text>
        <r>
          <rPr>
            <b/>
            <sz val="9"/>
            <color indexed="81"/>
            <rFont val="Tahoma"/>
            <charset val="1"/>
          </rPr>
          <t>Es el salario real del operador o el costo de una cuadrilla de operación.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Es la capacidad del tanque de almacenamiento de aceite lubricante del motor, se pregunta al fabricante.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charset val="1"/>
          </rPr>
          <t>Son las horas efectivas de trabajo por turno. Incluye tiempos muertos.</t>
        </r>
      </text>
    </comment>
    <comment ref="D36" authorId="1" shapeId="0">
      <text>
        <r>
          <rPr>
            <b/>
            <sz val="9"/>
            <color indexed="81"/>
            <rFont val="Tahoma"/>
            <charset val="1"/>
          </rPr>
          <t>Es el tiempo entre cambios sucesivos de aceite lubricante para el motor. Se pregunta al fabricante o por la experiencia que se tenga.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<sst xmlns="http://schemas.openxmlformats.org/spreadsheetml/2006/main" count="70" uniqueCount="62">
  <si>
    <t xml:space="preserve">GASOLINA </t>
  </si>
  <si>
    <t>DATOS GENERALES</t>
  </si>
  <si>
    <t xml:space="preserve">MAQUINA: </t>
  </si>
  <si>
    <t xml:space="preserve">INDICADOR ECONOMICO DE REFERENCIA </t>
  </si>
  <si>
    <t xml:space="preserve">MODELO: </t>
  </si>
  <si>
    <t xml:space="preserve">PUNTOS DE BANCO : </t>
  </si>
  <si>
    <t xml:space="preserve">VIDA ECONOMICA EN AÑOS: </t>
  </si>
  <si>
    <t>años</t>
  </si>
  <si>
    <t xml:space="preserve">HORAS POR AÑO (Hea): </t>
  </si>
  <si>
    <t xml:space="preserve">Hrs </t>
  </si>
  <si>
    <t xml:space="preserve">PRECIO JUEGO DE LLANTAS: </t>
  </si>
  <si>
    <t>VIDA ECONOMICA (Ve):</t>
  </si>
  <si>
    <t>POTENCIA NOMINAL:</t>
  </si>
  <si>
    <t>HP</t>
  </si>
  <si>
    <t xml:space="preserve">VIDA ECONOMICA DE LLANTAS: </t>
  </si>
  <si>
    <t>hrs</t>
  </si>
  <si>
    <t xml:space="preserve">COSTO POR COMBUSTIBLE (Pc): </t>
  </si>
  <si>
    <t xml:space="preserve">PRECIO PIEZAS ESPECIALES. (Pe): </t>
  </si>
  <si>
    <t xml:space="preserve">COSTO LUBRICANTE (Pa): </t>
  </si>
  <si>
    <t xml:space="preserve">VIDA ECONOMICA PIEZAS ESPECIALES Va: </t>
  </si>
  <si>
    <t xml:space="preserve">FACTOR DE OPERACIÓN (Fo): </t>
  </si>
  <si>
    <t>% RESCATE :</t>
  </si>
  <si>
    <t xml:space="preserve">POTENCIA DE OPERACIÓN (Po): </t>
  </si>
  <si>
    <t xml:space="preserve">VALOR DE RESCATE  (Vr): </t>
  </si>
  <si>
    <t>FACTOR DE MANTENIMIENTO (Ko):</t>
  </si>
  <si>
    <t>VALOR DE LA MAQUINA (Vm):</t>
  </si>
  <si>
    <t xml:space="preserve">COEFICIENTE COMBUSTIBLE (Fc): </t>
  </si>
  <si>
    <t>TASA DE INTERES (i):</t>
  </si>
  <si>
    <t xml:space="preserve">COEFICIENTE LUBRICANTE (Fa): </t>
  </si>
  <si>
    <t xml:space="preserve">PRIMA DE SEGUROS (S): </t>
  </si>
  <si>
    <t xml:space="preserve">CAPACIDAD DEL CARTER(CC): </t>
  </si>
  <si>
    <t xml:space="preserve">SALARIO REAL DEL OPERADOR (Sr): </t>
  </si>
  <si>
    <t>SALARIO POR OPERACIÓN (So):</t>
  </si>
  <si>
    <t xml:space="preserve">HORAS EFECTIVAS DE TRABAJO POR TURNO (Ht): </t>
  </si>
  <si>
    <t xml:space="preserve">TIEMPO ENTRE CAMBIO DE LUBRICANTE (Ca): </t>
  </si>
  <si>
    <t>CARGOS FIJOS</t>
  </si>
  <si>
    <t xml:space="preserve">ACTIVA </t>
  </si>
  <si>
    <t>%</t>
  </si>
  <si>
    <t xml:space="preserve">ESPERA </t>
  </si>
  <si>
    <t xml:space="preserve">RESERVA </t>
  </si>
  <si>
    <t xml:space="preserve">SUMA DE CARGOS FIJOS </t>
  </si>
  <si>
    <t>CARGOS POR CONSUMOS</t>
  </si>
  <si>
    <t xml:space="preserve">SUMA DE CONSUMOS </t>
  </si>
  <si>
    <t>CARGOS POR OPERACIÓN</t>
  </si>
  <si>
    <t xml:space="preserve">SALARIO TURNO (So) = </t>
  </si>
  <si>
    <t>HORAS TURNO</t>
  </si>
  <si>
    <t>SUMA OPERACIÓN</t>
  </si>
  <si>
    <t>COSTO DIRECTO HORA-MAQUINA</t>
  </si>
  <si>
    <t>DIESEL</t>
  </si>
  <si>
    <t xml:space="preserve">COMBUSTIBLE: </t>
  </si>
  <si>
    <t xml:space="preserve"> Retroexcavadora cargadora Caterpillar </t>
  </si>
  <si>
    <t>416 E</t>
  </si>
  <si>
    <t>www.elpreciounitario.com</t>
  </si>
  <si>
    <t>HOJA DE CALCULO DE COSTO HORARIO DE MAQUINARIA Y EQUIPO</t>
  </si>
  <si>
    <t>INSTRUCCIONES</t>
  </si>
  <si>
    <t xml:space="preserve">Esta hoja de cálculo está diseñada para apoyarte en el  análisis de  tus costos horarios  si es que no cuentas con una o con algún  un software que haga el análisis por ti. 
Esperando que sea de tu ayuda e invites a más personas a descargarla.                                                                                                                                                                                                                                                                                                                                                                                        
Se indica en color azul las celdas donde hay que ingresar información en las cuales se añade un comentario el cual hace referencia a dicho apartado.
</t>
  </si>
  <si>
    <t>Visítanos en www.elpreciounitario.com  para descargar más información de utilidad referente a todo lo necesario que tienes que saber para integrar de manera correcta un precio unitario.</t>
  </si>
  <si>
    <t xml:space="preserve">PRECIO DE ADQUISICIÓN: </t>
  </si>
  <si>
    <t>ANÁLISIS DEL COSTO HORARIO DIRECTO DE  MAQUINARIA</t>
  </si>
  <si>
    <t>LITROS DE COMBUSTIBLE</t>
  </si>
  <si>
    <t>lt</t>
  </si>
  <si>
    <t>LITROS DE LUBRICANTE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</si>
</sst>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0%"/>
    <numFmt numFmtId="169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164" fontId="2" fillId="0" borderId="0" xfId="2" applyNumberFormat="1" applyFont="1" applyProtection="1">
      <protection locked="0"/>
    </xf>
    <xf numFmtId="164" fontId="2" fillId="0" borderId="0" xfId="2" applyNumberFormat="1" applyFon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2" xfId="2" applyNumberFormat="1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6" fillId="0" borderId="0" xfId="0" applyFont="1" applyProtection="1">
      <protection locked="0"/>
    </xf>
    <xf numFmtId="164" fontId="2" fillId="0" borderId="0" xfId="2" applyNumberFormat="1" applyFont="1" applyAlignment="1" applyProtection="1">
      <alignment horizontal="right"/>
      <protection locked="0"/>
    </xf>
    <xf numFmtId="44" fontId="2" fillId="0" borderId="0" xfId="1" applyFont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9" fontId="0" fillId="0" borderId="0" xfId="2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0" fillId="0" borderId="0" xfId="0" applyProtection="1"/>
    <xf numFmtId="0" fontId="2" fillId="0" borderId="2" xfId="0" applyFont="1" applyFill="1" applyBorder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2" fillId="0" borderId="1" xfId="0" applyFont="1" applyBorder="1" applyProtection="1"/>
    <xf numFmtId="0" fontId="0" fillId="0" borderId="1" xfId="0" applyBorder="1" applyProtection="1"/>
    <xf numFmtId="0" fontId="0" fillId="0" borderId="2" xfId="0" applyBorder="1" applyProtection="1"/>
    <xf numFmtId="0" fontId="2" fillId="0" borderId="3" xfId="0" applyFont="1" applyBorder="1" applyProtection="1"/>
    <xf numFmtId="0" fontId="0" fillId="0" borderId="3" xfId="0" applyBorder="1" applyProtection="1"/>
    <xf numFmtId="9" fontId="0" fillId="4" borderId="0" xfId="2" applyFont="1" applyFill="1" applyAlignment="1" applyProtection="1">
      <alignment horizontal="center"/>
      <protection locked="0"/>
    </xf>
    <xf numFmtId="44" fontId="2" fillId="4" borderId="0" xfId="1" applyFont="1" applyFill="1" applyAlignment="1" applyProtection="1">
      <alignment horizontal="right"/>
      <protection locked="0"/>
    </xf>
    <xf numFmtId="0" fontId="2" fillId="4" borderId="0" xfId="0" applyFont="1" applyFill="1" applyAlignment="1" applyProtection="1">
      <alignment horizontal="right"/>
      <protection locked="0"/>
    </xf>
    <xf numFmtId="165" fontId="2" fillId="4" borderId="0" xfId="2" applyNumberFormat="1" applyFont="1" applyFill="1" applyAlignment="1" applyProtection="1">
      <alignment horizontal="right"/>
      <protection locked="0"/>
    </xf>
    <xf numFmtId="164" fontId="2" fillId="4" borderId="0" xfId="2" applyNumberFormat="1" applyFont="1" applyFill="1" applyAlignment="1" applyProtection="1">
      <alignment horizontal="right"/>
      <protection locked="0"/>
    </xf>
    <xf numFmtId="0" fontId="2" fillId="4" borderId="0" xfId="0" applyNumberFormat="1" applyFont="1" applyFill="1" applyAlignment="1" applyProtection="1">
      <alignment horizontal="right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2" fillId="4" borderId="0" xfId="0" applyFont="1" applyFill="1" applyProtection="1">
      <protection locked="0"/>
    </xf>
    <xf numFmtId="9" fontId="2" fillId="4" borderId="0" xfId="2" applyFont="1" applyFill="1" applyProtection="1">
      <protection locked="0"/>
    </xf>
    <xf numFmtId="44" fontId="2" fillId="4" borderId="0" xfId="1" applyFont="1" applyFill="1" applyProtection="1">
      <protection locked="0"/>
    </xf>
    <xf numFmtId="164" fontId="2" fillId="4" borderId="0" xfId="2" applyNumberFormat="1" applyFont="1" applyFill="1" applyBorder="1" applyProtection="1">
      <protection locked="0"/>
    </xf>
    <xf numFmtId="164" fontId="2" fillId="4" borderId="0" xfId="2" applyNumberFormat="1" applyFont="1" applyFill="1" applyProtection="1">
      <protection locked="0"/>
    </xf>
    <xf numFmtId="10" fontId="0" fillId="0" borderId="0" xfId="2" applyNumberFormat="1" applyFont="1" applyProtection="1"/>
    <xf numFmtId="9" fontId="0" fillId="0" borderId="0" xfId="2" applyFont="1" applyProtection="1"/>
    <xf numFmtId="0" fontId="0" fillId="4" borderId="0" xfId="0" applyFill="1"/>
    <xf numFmtId="0" fontId="2" fillId="4" borderId="0" xfId="0" applyFont="1" applyFill="1"/>
    <xf numFmtId="44" fontId="2" fillId="0" borderId="0" xfId="0" applyNumberFormat="1" applyFont="1" applyAlignment="1" applyProtection="1">
      <alignment horizontal="right"/>
      <protection hidden="1"/>
    </xf>
    <xf numFmtId="44" fontId="2" fillId="0" borderId="0" xfId="1" applyFont="1" applyAlignment="1" applyProtection="1">
      <alignment horizontal="right"/>
      <protection hidden="1"/>
    </xf>
    <xf numFmtId="164" fontId="2" fillId="0" borderId="0" xfId="2" applyNumberFormat="1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2" fillId="0" borderId="0" xfId="0" applyFont="1" applyProtection="1">
      <protection locked="0" hidden="1"/>
    </xf>
    <xf numFmtId="0" fontId="0" fillId="0" borderId="0" xfId="0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44" fontId="2" fillId="0" borderId="2" xfId="0" applyNumberFormat="1" applyFont="1" applyBorder="1" applyProtection="1">
      <protection hidden="1"/>
    </xf>
    <xf numFmtId="44" fontId="0" fillId="0" borderId="0" xfId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44" fontId="2" fillId="0" borderId="3" xfId="0" applyNumberFormat="1" applyFont="1" applyBorder="1" applyProtection="1">
      <protection hidden="1"/>
    </xf>
    <xf numFmtId="0" fontId="14" fillId="5" borderId="0" xfId="0" applyFont="1" applyFill="1" applyAlignment="1">
      <alignment horizontal="center"/>
    </xf>
    <xf numFmtId="0" fontId="16" fillId="4" borderId="0" xfId="0" applyFont="1" applyFill="1" applyAlignment="1">
      <alignment vertical="top" wrapText="1"/>
    </xf>
    <xf numFmtId="0" fontId="12" fillId="4" borderId="0" xfId="0" applyFont="1" applyFill="1" applyAlignment="1">
      <alignment horizontal="left" vertical="top" wrapText="1"/>
    </xf>
    <xf numFmtId="0" fontId="15" fillId="4" borderId="0" xfId="5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1" applyNumberFormat="1" applyFont="1" applyAlignment="1" applyProtection="1">
      <alignment horizontal="center"/>
      <protection hidden="1"/>
    </xf>
    <xf numFmtId="169" fontId="2" fillId="0" borderId="0" xfId="0" applyNumberFormat="1" applyFont="1" applyProtection="1"/>
    <xf numFmtId="0" fontId="17" fillId="2" borderId="0" xfId="0" applyFont="1" applyFill="1" applyAlignment="1" applyProtection="1">
      <alignment horizontal="center"/>
      <protection locked="0"/>
    </xf>
    <xf numFmtId="0" fontId="18" fillId="2" borderId="0" xfId="5" applyFont="1" applyFill="1" applyAlignment="1" applyProtection="1">
      <alignment horizontal="center"/>
      <protection locked="0"/>
    </xf>
  </cellXfs>
  <cellStyles count="6">
    <cellStyle name="Hipervínculo" xfId="5" builtinId="8"/>
    <cellStyle name="Millares 2" xfId="3"/>
    <cellStyle name="Moneda" xfId="1" builtinId="4"/>
    <cellStyle name="Normal" xfId="0" builtinId="0"/>
    <cellStyle name="Normal 2" xfId="4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lpreciounitario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lpreciounitario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5" sqref="A15:G18"/>
    </sheetView>
  </sheetViews>
  <sheetFormatPr baseColWidth="10" defaultRowHeight="15" x14ac:dyDescent="0.25"/>
  <sheetData>
    <row r="1" spans="1:7" ht="15.75" x14ac:dyDescent="0.25">
      <c r="A1" s="64" t="s">
        <v>52</v>
      </c>
      <c r="B1" s="64"/>
      <c r="C1" s="64"/>
      <c r="D1" s="64"/>
      <c r="E1" s="64"/>
      <c r="F1" s="64"/>
      <c r="G1" s="64"/>
    </row>
    <row r="2" spans="1:7" ht="3" customHeight="1" x14ac:dyDescent="0.25">
      <c r="A2" s="46"/>
      <c r="B2" s="46"/>
      <c r="C2" s="46"/>
      <c r="D2" s="46"/>
      <c r="E2" s="46"/>
      <c r="F2" s="46"/>
      <c r="G2" s="46"/>
    </row>
    <row r="3" spans="1:7" x14ac:dyDescent="0.25">
      <c r="A3" s="61" t="s">
        <v>53</v>
      </c>
      <c r="B3" s="61"/>
      <c r="C3" s="61"/>
      <c r="D3" s="61"/>
      <c r="E3" s="61"/>
      <c r="F3" s="61"/>
      <c r="G3" s="61"/>
    </row>
    <row r="4" spans="1:7" ht="6" customHeight="1" x14ac:dyDescent="0.25">
      <c r="A4" s="46"/>
      <c r="B4" s="46"/>
      <c r="C4" s="46"/>
      <c r="D4" s="46"/>
      <c r="E4" s="46"/>
      <c r="F4" s="46"/>
      <c r="G4" s="46"/>
    </row>
    <row r="5" spans="1:7" x14ac:dyDescent="0.25">
      <c r="A5" s="47" t="s">
        <v>54</v>
      </c>
      <c r="B5" s="46"/>
      <c r="C5" s="46"/>
      <c r="D5" s="46"/>
      <c r="E5" s="46"/>
      <c r="F5" s="46"/>
      <c r="G5" s="46"/>
    </row>
    <row r="6" spans="1:7" x14ac:dyDescent="0.25">
      <c r="A6" s="46"/>
      <c r="B6" s="46"/>
      <c r="C6" s="46"/>
      <c r="D6" s="46"/>
      <c r="E6" s="46"/>
      <c r="F6" s="46"/>
      <c r="G6" s="46"/>
    </row>
    <row r="7" spans="1:7" x14ac:dyDescent="0.25">
      <c r="A7" s="62" t="s">
        <v>55</v>
      </c>
      <c r="B7" s="62"/>
      <c r="C7" s="62"/>
      <c r="D7" s="62"/>
      <c r="E7" s="62"/>
      <c r="F7" s="62"/>
      <c r="G7" s="62"/>
    </row>
    <row r="8" spans="1:7" x14ac:dyDescent="0.25">
      <c r="A8" s="62"/>
      <c r="B8" s="62"/>
      <c r="C8" s="62"/>
      <c r="D8" s="62"/>
      <c r="E8" s="62"/>
      <c r="F8" s="62"/>
      <c r="G8" s="62"/>
    </row>
    <row r="9" spans="1:7" x14ac:dyDescent="0.25">
      <c r="A9" s="62"/>
      <c r="B9" s="62"/>
      <c r="C9" s="62"/>
      <c r="D9" s="62"/>
      <c r="E9" s="62"/>
      <c r="F9" s="62"/>
      <c r="G9" s="62"/>
    </row>
    <row r="10" spans="1:7" x14ac:dyDescent="0.25">
      <c r="A10" s="62"/>
      <c r="B10" s="62"/>
      <c r="C10" s="62"/>
      <c r="D10" s="62"/>
      <c r="E10" s="62"/>
      <c r="F10" s="62"/>
      <c r="G10" s="62"/>
    </row>
    <row r="11" spans="1:7" x14ac:dyDescent="0.25">
      <c r="A11" s="62"/>
      <c r="B11" s="62"/>
      <c r="C11" s="62"/>
      <c r="D11" s="62"/>
      <c r="E11" s="62"/>
      <c r="F11" s="62"/>
      <c r="G11" s="62"/>
    </row>
    <row r="12" spans="1:7" x14ac:dyDescent="0.25">
      <c r="A12" s="62"/>
      <c r="B12" s="62"/>
      <c r="C12" s="62"/>
      <c r="D12" s="62"/>
      <c r="E12" s="62"/>
      <c r="F12" s="62"/>
      <c r="G12" s="62"/>
    </row>
    <row r="13" spans="1:7" x14ac:dyDescent="0.25">
      <c r="A13" s="62"/>
      <c r="B13" s="62"/>
      <c r="C13" s="62"/>
      <c r="D13" s="62"/>
      <c r="E13" s="62"/>
      <c r="F13" s="62"/>
      <c r="G13" s="62"/>
    </row>
    <row r="14" spans="1:7" x14ac:dyDescent="0.25">
      <c r="A14" s="62"/>
      <c r="B14" s="62"/>
      <c r="C14" s="62"/>
      <c r="D14" s="62"/>
      <c r="E14" s="62"/>
      <c r="F14" s="62"/>
      <c r="G14" s="62"/>
    </row>
    <row r="15" spans="1:7" x14ac:dyDescent="0.25">
      <c r="A15" s="63" t="s">
        <v>56</v>
      </c>
      <c r="B15" s="63"/>
      <c r="C15" s="63"/>
      <c r="D15" s="63"/>
      <c r="E15" s="63"/>
      <c r="F15" s="63"/>
      <c r="G15" s="63"/>
    </row>
    <row r="16" spans="1:7" x14ac:dyDescent="0.25">
      <c r="A16" s="63"/>
      <c r="B16" s="63"/>
      <c r="C16" s="63"/>
      <c r="D16" s="63"/>
      <c r="E16" s="63"/>
      <c r="F16" s="63"/>
      <c r="G16" s="63"/>
    </row>
    <row r="17" spans="1:7" x14ac:dyDescent="0.25">
      <c r="A17" s="63"/>
      <c r="B17" s="63"/>
      <c r="C17" s="63"/>
      <c r="D17" s="63"/>
      <c r="E17" s="63"/>
      <c r="F17" s="63"/>
      <c r="G17" s="63"/>
    </row>
    <row r="18" spans="1:7" x14ac:dyDescent="0.25">
      <c r="A18" s="63"/>
      <c r="B18" s="63"/>
      <c r="C18" s="63"/>
      <c r="D18" s="63"/>
      <c r="E18" s="63"/>
      <c r="F18" s="63"/>
      <c r="G18" s="63"/>
    </row>
  </sheetData>
  <sheetProtection algorithmName="SHA-512" hashValue="es8ygYhWt/AXg0brBc6AM8kkRtrneM0Lqp8pyvKJZVtOBayMQffS0DtqmMmRTxEyVun6fqk6og6zgQjnzqybTw==" saltValue="8ehHLBgkbjteVhULBqjrXg==" spinCount="100000" sheet="1" objects="1" scenarios="1"/>
  <mergeCells count="4">
    <mergeCell ref="A3:G3"/>
    <mergeCell ref="A7:G14"/>
    <mergeCell ref="A15:G18"/>
    <mergeCell ref="A1:G1"/>
  </mergeCells>
  <hyperlinks>
    <hyperlink ref="A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75"/>
  <sheetViews>
    <sheetView tabSelected="1" zoomScale="80" zoomScaleNormal="80" zoomScaleSheetLayoutView="70" workbookViewId="0">
      <selection activeCell="B24" sqref="B24"/>
    </sheetView>
  </sheetViews>
  <sheetFormatPr baseColWidth="10" defaultColWidth="11.5703125" defaultRowHeight="15" x14ac:dyDescent="0.25"/>
  <cols>
    <col min="1" max="2" width="11.5703125" style="1"/>
    <col min="3" max="3" width="42.7109375" style="1" customWidth="1"/>
    <col min="4" max="4" width="16.7109375" style="1" customWidth="1"/>
    <col min="5" max="5" width="6.28515625" style="1" customWidth="1"/>
    <col min="6" max="6" width="2.42578125" style="1" customWidth="1"/>
    <col min="7" max="7" width="21" style="1" customWidth="1"/>
    <col min="8" max="8" width="11.7109375" style="1" bestFit="1" customWidth="1"/>
    <col min="9" max="9" width="12" style="1" bestFit="1" customWidth="1"/>
    <col min="10" max="11" width="11.7109375" style="1" bestFit="1" customWidth="1"/>
    <col min="12" max="12" width="11.5703125" style="1"/>
    <col min="13" max="16" width="0" style="1" hidden="1" customWidth="1"/>
    <col min="17" max="16384" width="11.5703125" style="1"/>
  </cols>
  <sheetData>
    <row r="1" spans="1:13" ht="23.25" x14ac:dyDescent="0.35">
      <c r="A1" s="75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3" ht="4.9000000000000004" customHeight="1" x14ac:dyDescent="0.25"/>
    <row r="3" spans="1:13" ht="18.75" x14ac:dyDescent="0.3">
      <c r="A3" s="66" t="s">
        <v>58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x14ac:dyDescent="0.2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3" ht="16.5" x14ac:dyDescent="0.3">
      <c r="A5" s="17" t="s">
        <v>2</v>
      </c>
      <c r="B5" s="70" t="s">
        <v>50</v>
      </c>
      <c r="C5" s="70"/>
      <c r="D5" s="70"/>
      <c r="E5" s="70"/>
      <c r="F5" s="2"/>
      <c r="G5" s="17" t="s">
        <v>3</v>
      </c>
      <c r="H5" s="2"/>
      <c r="I5" s="2"/>
      <c r="J5" s="17"/>
      <c r="K5" s="43">
        <v>5.8200000000000002E-2</v>
      </c>
    </row>
    <row r="6" spans="1:13" ht="16.5" x14ac:dyDescent="0.3">
      <c r="A6" s="17" t="s">
        <v>4</v>
      </c>
      <c r="B6" s="70" t="s">
        <v>51</v>
      </c>
      <c r="C6" s="70"/>
      <c r="D6" s="70"/>
      <c r="E6" s="70"/>
      <c r="F6" s="2"/>
      <c r="G6" s="18" t="s">
        <v>5</v>
      </c>
      <c r="H6" s="4"/>
      <c r="I6" s="4"/>
      <c r="J6" s="2"/>
      <c r="K6" s="42">
        <v>0.06</v>
      </c>
    </row>
    <row r="7" spans="1:13" x14ac:dyDescent="0.25">
      <c r="A7" s="3"/>
      <c r="B7" s="71"/>
      <c r="C7" s="71"/>
      <c r="D7" s="71"/>
      <c r="E7" s="71"/>
      <c r="F7" s="3"/>
      <c r="G7" s="18" t="s">
        <v>49</v>
      </c>
      <c r="H7" s="42" t="s">
        <v>48</v>
      </c>
      <c r="I7" s="5"/>
      <c r="J7" s="3"/>
      <c r="K7" s="3"/>
    </row>
    <row r="8" spans="1:13" ht="6.75" customHeight="1" x14ac:dyDescent="0.25">
      <c r="A8" s="6"/>
      <c r="B8" s="6"/>
      <c r="C8" s="6"/>
      <c r="D8" s="6"/>
      <c r="E8" s="6"/>
      <c r="F8" s="6"/>
      <c r="G8" s="6"/>
      <c r="H8" s="7"/>
      <c r="I8" s="7"/>
      <c r="J8" s="6"/>
      <c r="K8" s="6"/>
    </row>
    <row r="9" spans="1:13" x14ac:dyDescent="0.25">
      <c r="M9" s="2"/>
    </row>
    <row r="10" spans="1:13" x14ac:dyDescent="0.25">
      <c r="A10" s="17" t="s">
        <v>57</v>
      </c>
      <c r="B10" s="20"/>
      <c r="C10" s="20"/>
      <c r="D10" s="33">
        <v>1285000</v>
      </c>
      <c r="E10" s="20"/>
      <c r="G10" s="19" t="s">
        <v>6</v>
      </c>
      <c r="H10" s="20"/>
      <c r="I10" s="20"/>
      <c r="J10" s="39">
        <v>5</v>
      </c>
      <c r="K10" s="20" t="s">
        <v>7</v>
      </c>
      <c r="M10" s="9"/>
    </row>
    <row r="11" spans="1:13" ht="5.0999999999999996" customHeight="1" x14ac:dyDescent="0.25">
      <c r="A11" s="17"/>
      <c r="B11" s="20"/>
      <c r="C11" s="20"/>
      <c r="D11" s="10"/>
      <c r="E11" s="20"/>
      <c r="G11" s="19"/>
      <c r="H11" s="20"/>
      <c r="I11" s="20"/>
      <c r="J11" s="10"/>
      <c r="K11" s="20"/>
      <c r="M11" s="9"/>
    </row>
    <row r="12" spans="1:13" x14ac:dyDescent="0.25">
      <c r="A12" s="17" t="s">
        <v>10</v>
      </c>
      <c r="B12" s="20"/>
      <c r="C12" s="20"/>
      <c r="D12" s="33">
        <v>22500</v>
      </c>
      <c r="E12" s="20"/>
      <c r="G12" s="19" t="s">
        <v>8</v>
      </c>
      <c r="H12" s="44"/>
      <c r="I12" s="20"/>
      <c r="J12" s="39">
        <v>2000</v>
      </c>
      <c r="K12" s="20" t="s">
        <v>9</v>
      </c>
      <c r="M12" s="9" t="s">
        <v>48</v>
      </c>
    </row>
    <row r="13" spans="1:13" ht="5.0999999999999996" customHeight="1" x14ac:dyDescent="0.25">
      <c r="A13" s="17"/>
      <c r="B13" s="20"/>
      <c r="C13" s="20"/>
      <c r="D13" s="10"/>
      <c r="E13" s="20"/>
      <c r="G13" s="19"/>
      <c r="H13" s="44"/>
      <c r="I13" s="20"/>
      <c r="J13" s="10"/>
      <c r="K13" s="20"/>
      <c r="M13" s="9"/>
    </row>
    <row r="14" spans="1:13" x14ac:dyDescent="0.25">
      <c r="A14" s="17" t="s">
        <v>14</v>
      </c>
      <c r="B14" s="20"/>
      <c r="C14" s="20"/>
      <c r="D14" s="34">
        <v>2500</v>
      </c>
      <c r="E14" s="20" t="s">
        <v>15</v>
      </c>
      <c r="G14" s="19" t="s">
        <v>11</v>
      </c>
      <c r="H14" s="45"/>
      <c r="I14" s="20"/>
      <c r="J14" s="51">
        <f>+J12*J10</f>
        <v>10000</v>
      </c>
      <c r="K14" s="20" t="s">
        <v>9</v>
      </c>
      <c r="M14" s="9" t="s">
        <v>0</v>
      </c>
    </row>
    <row r="15" spans="1:13" ht="5.0999999999999996" customHeight="1" x14ac:dyDescent="0.25">
      <c r="A15" s="17"/>
      <c r="B15" s="20"/>
      <c r="C15" s="20"/>
      <c r="D15" s="10"/>
      <c r="E15" s="20"/>
      <c r="G15" s="19"/>
      <c r="H15" s="45"/>
      <c r="I15" s="20"/>
      <c r="J15" s="2"/>
      <c r="K15" s="20"/>
      <c r="M15" s="9"/>
    </row>
    <row r="16" spans="1:13" x14ac:dyDescent="0.25">
      <c r="A16" s="17" t="s">
        <v>17</v>
      </c>
      <c r="B16" s="20"/>
      <c r="C16" s="20"/>
      <c r="D16" s="33"/>
      <c r="E16" s="20"/>
      <c r="G16" s="19" t="s">
        <v>12</v>
      </c>
      <c r="H16" s="20"/>
      <c r="I16" s="20"/>
      <c r="J16" s="39">
        <v>75</v>
      </c>
      <c r="K16" s="20" t="s">
        <v>13</v>
      </c>
      <c r="M16" s="9"/>
    </row>
    <row r="17" spans="1:13" ht="5.0999999999999996" customHeight="1" x14ac:dyDescent="0.25">
      <c r="A17" s="17"/>
      <c r="B17" s="20"/>
      <c r="C17" s="20"/>
      <c r="D17" s="10"/>
      <c r="E17" s="20"/>
      <c r="G17" s="19"/>
      <c r="H17" s="20"/>
      <c r="I17" s="20"/>
      <c r="J17" s="10"/>
      <c r="K17" s="20"/>
      <c r="M17" s="9"/>
    </row>
    <row r="18" spans="1:13" x14ac:dyDescent="0.25">
      <c r="A18" s="17" t="s">
        <v>19</v>
      </c>
      <c r="B18" s="20"/>
      <c r="C18" s="20"/>
      <c r="D18" s="34"/>
      <c r="E18" s="20" t="s">
        <v>15</v>
      </c>
      <c r="G18" s="19" t="s">
        <v>16</v>
      </c>
      <c r="H18" s="20"/>
      <c r="I18" s="20"/>
      <c r="J18" s="41">
        <v>13.87</v>
      </c>
      <c r="K18" s="20" t="str">
        <f>"/lt"</f>
        <v>/lt</v>
      </c>
    </row>
    <row r="19" spans="1:13" ht="5.0999999999999996" customHeight="1" x14ac:dyDescent="0.25">
      <c r="A19" s="17"/>
      <c r="B19" s="20"/>
      <c r="C19" s="20"/>
      <c r="D19" s="10"/>
      <c r="E19" s="20"/>
      <c r="G19" s="19"/>
      <c r="H19" s="20"/>
      <c r="I19" s="20"/>
      <c r="J19" s="10"/>
      <c r="K19" s="20"/>
    </row>
    <row r="20" spans="1:13" x14ac:dyDescent="0.25">
      <c r="A20" s="17" t="s">
        <v>21</v>
      </c>
      <c r="B20" s="20"/>
      <c r="C20" s="20"/>
      <c r="D20" s="35">
        <v>0.2</v>
      </c>
      <c r="E20" s="20"/>
      <c r="G20" s="19" t="s">
        <v>18</v>
      </c>
      <c r="H20" s="20"/>
      <c r="I20" s="20"/>
      <c r="J20" s="41">
        <v>48.5</v>
      </c>
      <c r="K20" s="20" t="str">
        <f>"/lt"</f>
        <v>/lt</v>
      </c>
    </row>
    <row r="21" spans="1:13" ht="5.0999999999999996" customHeight="1" x14ac:dyDescent="0.25">
      <c r="A21" s="17"/>
      <c r="B21" s="20"/>
      <c r="C21" s="20"/>
      <c r="D21" s="10"/>
      <c r="E21" s="20"/>
      <c r="G21" s="19"/>
      <c r="H21" s="20"/>
      <c r="I21" s="20"/>
      <c r="J21" s="10"/>
      <c r="K21" s="20"/>
    </row>
    <row r="22" spans="1:13" x14ac:dyDescent="0.25">
      <c r="A22" s="17" t="s">
        <v>23</v>
      </c>
      <c r="B22" s="20"/>
      <c r="C22" s="20"/>
      <c r="D22" s="48">
        <f>+D24*D20</f>
        <v>252500</v>
      </c>
      <c r="E22" s="20"/>
      <c r="G22" s="19" t="s">
        <v>20</v>
      </c>
      <c r="H22" s="20"/>
      <c r="I22" s="20"/>
      <c r="J22" s="40">
        <v>0.8</v>
      </c>
      <c r="K22" s="20"/>
    </row>
    <row r="23" spans="1:13" ht="5.0999999999999996" customHeight="1" x14ac:dyDescent="0.25">
      <c r="A23" s="17"/>
      <c r="B23" s="20"/>
      <c r="C23" s="20"/>
      <c r="D23" s="48"/>
      <c r="E23" s="20"/>
      <c r="G23" s="19"/>
      <c r="H23" s="20"/>
      <c r="I23" s="20"/>
      <c r="J23" s="10"/>
      <c r="K23" s="20"/>
      <c r="L23" s="10"/>
    </row>
    <row r="24" spans="1:13" x14ac:dyDescent="0.25">
      <c r="A24" s="17" t="s">
        <v>25</v>
      </c>
      <c r="B24" s="20"/>
      <c r="C24" s="20"/>
      <c r="D24" s="49">
        <f>D10-D12-D16</f>
        <v>1262500</v>
      </c>
      <c r="E24" s="20"/>
      <c r="G24" s="19" t="s">
        <v>22</v>
      </c>
      <c r="H24" s="20"/>
      <c r="I24" s="20"/>
      <c r="J24" s="51">
        <f>+J22*J16</f>
        <v>60</v>
      </c>
      <c r="K24" s="20"/>
    </row>
    <row r="25" spans="1:13" ht="5.0999999999999996" customHeight="1" x14ac:dyDescent="0.25">
      <c r="A25" s="17"/>
      <c r="B25" s="20"/>
      <c r="C25" s="20"/>
      <c r="D25" s="49"/>
      <c r="E25" s="20"/>
      <c r="G25" s="19"/>
      <c r="H25" s="20"/>
      <c r="I25" s="20"/>
      <c r="J25" s="2"/>
      <c r="K25" s="20"/>
    </row>
    <row r="26" spans="1:13" x14ac:dyDescent="0.25">
      <c r="A26" s="17" t="s">
        <v>27</v>
      </c>
      <c r="B26" s="20"/>
      <c r="C26" s="20"/>
      <c r="D26" s="50">
        <f>+K5+K6</f>
        <v>0.1182</v>
      </c>
      <c r="E26" s="20"/>
      <c r="G26" s="19" t="s">
        <v>24</v>
      </c>
      <c r="H26" s="20"/>
      <c r="I26" s="20"/>
      <c r="J26" s="39">
        <v>0.8</v>
      </c>
      <c r="K26" s="20"/>
    </row>
    <row r="27" spans="1:13" ht="5.0999999999999996" customHeight="1" x14ac:dyDescent="0.25">
      <c r="A27" s="17"/>
      <c r="B27" s="20"/>
      <c r="C27" s="20"/>
      <c r="D27" s="10"/>
      <c r="E27" s="20"/>
      <c r="G27" s="19"/>
      <c r="H27" s="20"/>
      <c r="I27" s="20"/>
      <c r="J27" s="10"/>
      <c r="K27" s="20"/>
      <c r="L27" s="10"/>
    </row>
    <row r="28" spans="1:13" x14ac:dyDescent="0.25">
      <c r="A28" s="17" t="s">
        <v>29</v>
      </c>
      <c r="B28" s="20"/>
      <c r="C28" s="20"/>
      <c r="D28" s="36">
        <v>0.02</v>
      </c>
      <c r="E28" s="20"/>
      <c r="G28" s="19" t="s">
        <v>26</v>
      </c>
      <c r="H28" s="20"/>
      <c r="I28" s="20"/>
      <c r="J28" s="51">
        <f>IF(H7="DIESEL",0.1514,0.2271)</f>
        <v>0.15140000000000001</v>
      </c>
      <c r="K28" s="20"/>
    </row>
    <row r="29" spans="1:13" ht="5.0999999999999996" customHeight="1" x14ac:dyDescent="0.25">
      <c r="A29" s="17"/>
      <c r="B29" s="20"/>
      <c r="C29" s="20"/>
      <c r="D29" s="10"/>
      <c r="E29" s="20"/>
      <c r="G29" s="19"/>
      <c r="H29" s="20"/>
      <c r="I29" s="20"/>
      <c r="J29" s="52"/>
      <c r="K29" s="20"/>
    </row>
    <row r="30" spans="1:13" x14ac:dyDescent="0.25">
      <c r="A30" s="17" t="s">
        <v>31</v>
      </c>
      <c r="B30" s="20"/>
      <c r="C30" s="20"/>
      <c r="D30" s="49">
        <f>IF(D34=0,"",D32/D34)</f>
        <v>76.714666666666673</v>
      </c>
      <c r="E30" s="20"/>
      <c r="G30" s="19" t="s">
        <v>28</v>
      </c>
      <c r="H30" s="20"/>
      <c r="I30" s="20"/>
      <c r="J30" s="51">
        <f>IF(J16&gt;=100,0.00358,0.00307)</f>
        <v>3.0699999999999998E-3</v>
      </c>
      <c r="K30" s="20"/>
    </row>
    <row r="31" spans="1:13" ht="5.0999999999999996" customHeight="1" x14ac:dyDescent="0.25">
      <c r="A31" s="17"/>
      <c r="B31" s="20"/>
      <c r="C31" s="20"/>
      <c r="D31" s="11"/>
      <c r="E31" s="20"/>
      <c r="G31" s="19"/>
      <c r="H31" s="20"/>
      <c r="I31" s="20"/>
      <c r="J31" s="10"/>
      <c r="K31" s="20"/>
      <c r="L31" s="10"/>
    </row>
    <row r="32" spans="1:13" x14ac:dyDescent="0.25">
      <c r="A32" s="17" t="s">
        <v>32</v>
      </c>
      <c r="B32" s="20"/>
      <c r="C32" s="20"/>
      <c r="D32" s="33">
        <v>575.36</v>
      </c>
      <c r="E32" s="20"/>
      <c r="G32" s="19" t="s">
        <v>30</v>
      </c>
      <c r="H32" s="20"/>
      <c r="I32" s="20"/>
      <c r="J32" s="39">
        <v>7.6</v>
      </c>
      <c r="K32" s="20"/>
    </row>
    <row r="33" spans="1:11" ht="5.0999999999999996" customHeight="1" x14ac:dyDescent="0.25">
      <c r="A33" s="17"/>
      <c r="B33" s="20"/>
      <c r="C33" s="20"/>
      <c r="D33" s="10"/>
      <c r="E33" s="20"/>
      <c r="G33" s="8"/>
      <c r="J33" s="2"/>
    </row>
    <row r="34" spans="1:11" x14ac:dyDescent="0.25">
      <c r="A34" s="17" t="s">
        <v>33</v>
      </c>
      <c r="B34" s="20"/>
      <c r="C34" s="20"/>
      <c r="D34" s="37">
        <v>7.5</v>
      </c>
      <c r="E34" s="20" t="s">
        <v>15</v>
      </c>
      <c r="G34" s="17" t="s">
        <v>59</v>
      </c>
      <c r="H34" s="17"/>
      <c r="I34" s="17"/>
      <c r="J34" s="17">
        <f>+ROUND(J28*J24,2)</f>
        <v>9.08</v>
      </c>
      <c r="K34" s="17" t="s">
        <v>60</v>
      </c>
    </row>
    <row r="35" spans="1:11" ht="5.0999999999999996" customHeight="1" x14ac:dyDescent="0.25">
      <c r="A35" s="17"/>
      <c r="B35" s="20"/>
      <c r="C35" s="20"/>
      <c r="D35" s="10"/>
      <c r="E35" s="20"/>
      <c r="G35" s="19"/>
      <c r="H35" s="20"/>
      <c r="I35" s="20"/>
      <c r="J35" s="17"/>
      <c r="K35" s="20"/>
    </row>
    <row r="36" spans="1:11" x14ac:dyDescent="0.25">
      <c r="A36" s="18" t="s">
        <v>34</v>
      </c>
      <c r="B36" s="26"/>
      <c r="C36" s="26"/>
      <c r="D36" s="38">
        <v>150</v>
      </c>
      <c r="E36" s="20" t="s">
        <v>15</v>
      </c>
      <c r="G36" s="17" t="s">
        <v>61</v>
      </c>
      <c r="H36" s="20"/>
      <c r="I36" s="20"/>
      <c r="J36" s="73">
        <f>IF(D36=0,"",(J30*J24)+(J32/D36))</f>
        <v>0.23486666666666664</v>
      </c>
      <c r="K36" s="17" t="s">
        <v>60</v>
      </c>
    </row>
    <row r="37" spans="1:11" x14ac:dyDescent="0.25">
      <c r="A37" s="6"/>
      <c r="B37" s="6"/>
      <c r="C37" s="6"/>
      <c r="D37" s="13"/>
      <c r="E37" s="6"/>
      <c r="F37" s="6"/>
      <c r="G37" s="6"/>
      <c r="H37" s="6"/>
      <c r="I37" s="6"/>
      <c r="J37" s="6"/>
      <c r="K37" s="6"/>
    </row>
    <row r="38" spans="1:11" x14ac:dyDescent="0.25">
      <c r="A38" s="21" t="s">
        <v>35</v>
      </c>
      <c r="B38" s="22"/>
      <c r="C38" s="22"/>
      <c r="D38" s="22"/>
      <c r="E38" s="22"/>
      <c r="F38" s="22"/>
      <c r="G38" s="23" t="s">
        <v>36</v>
      </c>
      <c r="H38" s="22" t="s">
        <v>37</v>
      </c>
      <c r="I38" s="22" t="s">
        <v>38</v>
      </c>
      <c r="J38" s="22" t="s">
        <v>37</v>
      </c>
      <c r="K38" s="22" t="s">
        <v>39</v>
      </c>
    </row>
    <row r="39" spans="1:11" s="12" customFormat="1" x14ac:dyDescent="0.25">
      <c r="A39" s="19"/>
      <c r="B39" s="18"/>
      <c r="C39" s="18"/>
      <c r="D39" s="18"/>
      <c r="E39" s="18"/>
      <c r="F39" s="18"/>
      <c r="G39" s="24"/>
      <c r="H39" s="18"/>
      <c r="I39" s="18"/>
      <c r="J39" s="18"/>
      <c r="K39" s="18"/>
    </row>
    <row r="40" spans="1:11" x14ac:dyDescent="0.25">
      <c r="A40" s="53" t="str">
        <f>CONCATENATE("a) DEPRECIACIÓN……......D=","  (Vm-Vr)/Ve =  ","(",D24," - ",D22," )/ ",J14,"  =")</f>
        <v>a) DEPRECIACIÓN……......D=  (Vm-Vr)/Ve =  (1262500 - 252500 )/ 10000  =</v>
      </c>
      <c r="B40" s="20"/>
      <c r="C40" s="25"/>
      <c r="D40" s="20"/>
      <c r="E40" s="20"/>
      <c r="F40" s="20"/>
      <c r="G40" s="54">
        <f>IF(J14=0,"",(D24-D22)/J14)</f>
        <v>101</v>
      </c>
      <c r="H40" s="32">
        <v>1</v>
      </c>
      <c r="I40" s="54">
        <f>IF(G40="","",G40*H40)</f>
        <v>101</v>
      </c>
      <c r="J40" s="32">
        <v>0.15</v>
      </c>
      <c r="K40" s="54">
        <f>IF(G40="","",J40*G40)</f>
        <v>15.149999999999999</v>
      </c>
    </row>
    <row r="41" spans="1:11" ht="9.6" customHeight="1" x14ac:dyDescent="0.25">
      <c r="A41" s="53"/>
      <c r="B41" s="20"/>
      <c r="C41" s="20"/>
      <c r="D41" s="20"/>
      <c r="E41" s="20"/>
      <c r="F41" s="20"/>
      <c r="G41" s="53"/>
      <c r="I41" s="53"/>
      <c r="K41" s="53"/>
    </row>
    <row r="42" spans="1:11" x14ac:dyDescent="0.25">
      <c r="A42" s="53" t="str">
        <f>CONCATENATE("b) INVERSIÓN……….…….Im= (Vm + Vr)/2Hea*i =  ","(",D24," + ",D22,")"," / ",2*J12," * ", ROUND(D26,4), " = ")</f>
        <v xml:space="preserve">b) INVERSIÓN……….…….Im= (Vm + Vr)/2Hea*i =  (1262500 + 252500) / 4000 * 0.1182 = </v>
      </c>
      <c r="B42" s="20"/>
      <c r="C42" s="20"/>
      <c r="D42" s="20"/>
      <c r="E42" s="20"/>
      <c r="F42" s="20"/>
      <c r="G42" s="54">
        <f>IF(J12=0,"",(D24+D22)/(2*J12)*D26)</f>
        <v>44.768250000000002</v>
      </c>
      <c r="H42" s="32">
        <v>1</v>
      </c>
      <c r="I42" s="54">
        <f>IF(G42="","",G42*H42)</f>
        <v>44.768250000000002</v>
      </c>
      <c r="J42" s="32">
        <v>1</v>
      </c>
      <c r="K42" s="54">
        <f>IF(G42="","",J42*G42)</f>
        <v>44.768250000000002</v>
      </c>
    </row>
    <row r="43" spans="1:11" ht="9.6" customHeight="1" x14ac:dyDescent="0.25">
      <c r="A43" s="53"/>
      <c r="B43" s="20"/>
      <c r="C43" s="20"/>
      <c r="D43" s="20"/>
      <c r="E43" s="20"/>
      <c r="F43" s="20"/>
      <c r="G43" s="53"/>
      <c r="I43" s="53"/>
      <c r="K43" s="53"/>
    </row>
    <row r="44" spans="1:11" x14ac:dyDescent="0.25">
      <c r="A44" s="53" t="str">
        <f>CONCATENATE("c) SEGUROS…….…………Sm= (Vm + Vr)/2Hea*S = ","(",D24," + ",D22,")"," / ",2*J12," * ",D28," = ")</f>
        <v xml:space="preserve">c) SEGUROS…….…………Sm= (Vm + Vr)/2Hea*S = (1262500 + 252500) / 4000 * 0.02 = </v>
      </c>
      <c r="B44" s="20"/>
      <c r="C44" s="20"/>
      <c r="D44" s="20"/>
      <c r="E44" s="20"/>
      <c r="F44" s="20"/>
      <c r="G44" s="54">
        <f>IF(J12=0,"",(D24+D22)/(2*J12)*D28)</f>
        <v>7.5750000000000002</v>
      </c>
      <c r="H44" s="32">
        <v>1</v>
      </c>
      <c r="I44" s="54">
        <f>IF(G44="","",G44*H44)</f>
        <v>7.5750000000000002</v>
      </c>
      <c r="J44" s="32">
        <v>1</v>
      </c>
      <c r="K44" s="54">
        <f>IF(G44="","",J44*G44)</f>
        <v>7.5750000000000002</v>
      </c>
    </row>
    <row r="45" spans="1:11" ht="9.6" customHeight="1" x14ac:dyDescent="0.25">
      <c r="A45" s="53"/>
      <c r="B45" s="20"/>
      <c r="C45" s="20"/>
      <c r="D45" s="20"/>
      <c r="E45" s="20"/>
      <c r="F45" s="20"/>
      <c r="G45" s="53"/>
      <c r="I45" s="53"/>
      <c r="K45" s="53"/>
    </row>
    <row r="46" spans="1:11" x14ac:dyDescent="0.25">
      <c r="A46" s="53" t="str">
        <f>CONCATENATE("d) MANTENIMIENTO…..M= Ko * D = ",J26," * ",G40," = ")</f>
        <v xml:space="preserve">d) MANTENIMIENTO…..M= Ko * D = 0.8 * 101 = </v>
      </c>
      <c r="B46" s="20"/>
      <c r="C46" s="20"/>
      <c r="D46" s="20"/>
      <c r="E46" s="20"/>
      <c r="F46" s="20"/>
      <c r="G46" s="58">
        <f>IF(G40="","",J26*G40)</f>
        <v>80.800000000000011</v>
      </c>
      <c r="H46" s="32">
        <v>0.8</v>
      </c>
      <c r="I46" s="54">
        <f>IF(G46="","",G46*H46)</f>
        <v>64.640000000000015</v>
      </c>
      <c r="J46" s="32">
        <v>0.15</v>
      </c>
      <c r="K46" s="54">
        <f>IF(G46="","",J46*G46)</f>
        <v>12.120000000000001</v>
      </c>
    </row>
    <row r="47" spans="1:11" ht="9.6" customHeight="1" x14ac:dyDescent="0.25">
      <c r="A47" s="26"/>
      <c r="B47" s="26"/>
      <c r="C47" s="26"/>
      <c r="D47" s="26"/>
      <c r="E47" s="26"/>
      <c r="F47" s="26"/>
      <c r="G47" s="56"/>
      <c r="H47" s="12"/>
      <c r="I47" s="56"/>
      <c r="J47" s="12"/>
      <c r="K47" s="56"/>
    </row>
    <row r="48" spans="1:11" x14ac:dyDescent="0.25">
      <c r="A48" s="22" t="s">
        <v>40</v>
      </c>
      <c r="B48" s="22"/>
      <c r="C48" s="22"/>
      <c r="D48" s="22"/>
      <c r="E48" s="22"/>
      <c r="F48" s="22"/>
      <c r="G48" s="57">
        <f>SUM(G40:G47)</f>
        <v>234.14324999999999</v>
      </c>
      <c r="H48" s="14"/>
      <c r="I48" s="57">
        <f>SUM(I40:I47)</f>
        <v>217.98325</v>
      </c>
      <c r="J48" s="14"/>
      <c r="K48" s="57">
        <f>SUM(K40:K47)</f>
        <v>79.613250000000008</v>
      </c>
    </row>
    <row r="49" spans="1:11" x14ac:dyDescent="0.25">
      <c r="A49" s="20"/>
      <c r="B49" s="20"/>
      <c r="C49" s="20"/>
      <c r="D49" s="20"/>
      <c r="E49" s="20"/>
      <c r="F49" s="20"/>
      <c r="G49" s="53"/>
      <c r="I49" s="20"/>
      <c r="K49" s="20"/>
    </row>
    <row r="50" spans="1:11" x14ac:dyDescent="0.25">
      <c r="A50" s="27" t="s">
        <v>41</v>
      </c>
      <c r="B50" s="28"/>
      <c r="C50" s="28"/>
      <c r="D50" s="28"/>
      <c r="E50" s="28"/>
      <c r="F50" s="28"/>
      <c r="G50" s="28"/>
      <c r="H50" s="16"/>
      <c r="I50" s="28"/>
      <c r="J50" s="16"/>
      <c r="K50" s="28"/>
    </row>
    <row r="51" spans="1:11" x14ac:dyDescent="0.25">
      <c r="A51" s="18"/>
      <c r="B51" s="26"/>
      <c r="C51" s="26"/>
      <c r="D51" s="26"/>
      <c r="E51" s="26"/>
      <c r="F51" s="26"/>
      <c r="G51" s="26"/>
      <c r="H51" s="12"/>
      <c r="I51" s="26"/>
      <c r="J51" s="12"/>
      <c r="K51" s="26"/>
    </row>
    <row r="52" spans="1:11" x14ac:dyDescent="0.25">
      <c r="A52" s="53" t="str">
        <f>CONCATENATE("a) COMBUSTIBLE……....Co= Fc * Po * Pc =", J28," * ",J24," * ", J18, " = ")</f>
        <v xml:space="preserve">a) COMBUSTIBLE……....Co= Fc * Po * Pc =0.1514 * 60 * 13.87 = </v>
      </c>
      <c r="B52" s="20"/>
      <c r="C52" s="20"/>
      <c r="D52" s="20"/>
      <c r="E52" s="20"/>
      <c r="F52" s="20"/>
      <c r="G52" s="55">
        <f>ROUND(J18*J24*J28,2)</f>
        <v>126</v>
      </c>
      <c r="H52" s="32">
        <v>0.05</v>
      </c>
      <c r="I52" s="54">
        <f>G52*H52</f>
        <v>6.3000000000000007</v>
      </c>
      <c r="J52" s="32">
        <v>0</v>
      </c>
      <c r="K52" s="54">
        <f>J52*G52</f>
        <v>0</v>
      </c>
    </row>
    <row r="53" spans="1:11" ht="9.6" customHeight="1" x14ac:dyDescent="0.25">
      <c r="A53" s="56"/>
      <c r="B53" s="26"/>
      <c r="C53" s="26"/>
      <c r="D53" s="26"/>
      <c r="E53" s="26"/>
      <c r="F53" s="26"/>
      <c r="G53" s="56"/>
      <c r="H53" s="12"/>
      <c r="I53" s="56"/>
      <c r="J53" s="12"/>
      <c r="K53" s="56"/>
    </row>
    <row r="54" spans="1:11" x14ac:dyDescent="0.25">
      <c r="A54" s="53" t="str">
        <f>CONCATENATE("b) LUBRICANTE…..……….Lb= ((Fa * Po) + CC/Ca) * Pa =","((",J30," * ", J24,")"," + ",J32,"/",D36,") * ",J20, " =")</f>
        <v>b) LUBRICANTE…..……….Lb= ((Fa * Po) + CC/Ca) * Pa =((0.00307 * 60) + 7.6/150) * 48.5 =</v>
      </c>
      <c r="B54" s="20"/>
      <c r="C54" s="20"/>
      <c r="D54" s="20"/>
      <c r="E54" s="20"/>
      <c r="F54" s="20"/>
      <c r="G54" s="55">
        <f>IF(D36=0,"",ROUND(((J30*J24)+(J32/D36))*J20,2))</f>
        <v>11.39</v>
      </c>
      <c r="H54" s="32">
        <v>0.05</v>
      </c>
      <c r="I54" s="54">
        <f>IF(G54="","",G54*H54)</f>
        <v>0.56950000000000001</v>
      </c>
      <c r="J54" s="32">
        <v>0</v>
      </c>
      <c r="K54" s="54">
        <f>IF(G54="","",J54*G54)</f>
        <v>0</v>
      </c>
    </row>
    <row r="55" spans="1:11" ht="9.6" customHeight="1" x14ac:dyDescent="0.25">
      <c r="A55" s="56"/>
      <c r="B55" s="26"/>
      <c r="C55" s="26"/>
      <c r="D55" s="26"/>
      <c r="E55" s="26"/>
      <c r="F55" s="26"/>
      <c r="G55" s="56"/>
      <c r="H55" s="12"/>
      <c r="I55" s="56"/>
      <c r="J55" s="12"/>
      <c r="K55" s="56"/>
    </row>
    <row r="56" spans="1:11" ht="9.6" customHeight="1" x14ac:dyDescent="0.25">
      <c r="A56" s="56"/>
      <c r="B56" s="26"/>
      <c r="C56" s="26"/>
      <c r="D56" s="26"/>
      <c r="E56" s="26"/>
      <c r="F56" s="26"/>
      <c r="G56" s="56"/>
      <c r="H56" s="12"/>
      <c r="I56" s="56"/>
      <c r="J56" s="12"/>
      <c r="K56" s="56"/>
    </row>
    <row r="57" spans="1:11" x14ac:dyDescent="0.25">
      <c r="A57" s="53" t="str">
        <f>CONCATENATE("c) PIEZAS ESPECIALES….Ae= Pe/Va = ", D16, " / ", D18, " = ")</f>
        <v xml:space="preserve">c) PIEZAS ESPECIALES….Ae= Pe/Va =  /  = </v>
      </c>
      <c r="B57" s="20"/>
      <c r="C57" s="20"/>
      <c r="D57" s="20"/>
      <c r="E57" s="20"/>
      <c r="F57" s="20"/>
      <c r="G57" s="58" t="str">
        <f>IF(D18=0,"",D16/D18)</f>
        <v/>
      </c>
      <c r="H57" s="32">
        <v>0</v>
      </c>
      <c r="I57" s="72" t="str">
        <f>IF(G57="","",G57*H57)</f>
        <v/>
      </c>
      <c r="J57" s="32">
        <v>0</v>
      </c>
      <c r="K57" s="54" t="str">
        <f>IF(G57="","",J57*G57)</f>
        <v/>
      </c>
    </row>
    <row r="58" spans="1:11" x14ac:dyDescent="0.25">
      <c r="A58" s="53"/>
      <c r="B58" s="20"/>
      <c r="C58" s="20"/>
      <c r="D58" s="20"/>
      <c r="E58" s="20"/>
      <c r="F58" s="20"/>
      <c r="G58" s="58"/>
      <c r="H58" s="15"/>
      <c r="I58" s="54"/>
      <c r="J58" s="15"/>
      <c r="K58" s="54"/>
    </row>
    <row r="59" spans="1:11" x14ac:dyDescent="0.25">
      <c r="A59" s="53" t="str">
        <f>CONCATENATE("d) LLANTAS….N= Pn/Vn = ", D12, " / ", D14, " = ")</f>
        <v xml:space="preserve">d) LLANTAS….N= Pn/Vn = 22500 / 2500 = </v>
      </c>
      <c r="B59" s="20"/>
      <c r="C59" s="20"/>
      <c r="D59" s="20"/>
      <c r="E59" s="20"/>
      <c r="F59" s="20"/>
      <c r="G59" s="58">
        <f>IF(D14=0,"",D12/D14)</f>
        <v>9</v>
      </c>
      <c r="H59" s="32">
        <v>0.2</v>
      </c>
      <c r="I59" s="54">
        <f>IF(G59="","",G59*H59)</f>
        <v>1.8</v>
      </c>
      <c r="J59" s="32">
        <v>0</v>
      </c>
      <c r="K59" s="54">
        <f>IF(G59="","",J59*G59)</f>
        <v>0</v>
      </c>
    </row>
    <row r="60" spans="1:11" x14ac:dyDescent="0.25">
      <c r="A60" s="53"/>
      <c r="B60" s="20"/>
      <c r="C60" s="20"/>
      <c r="D60" s="20"/>
      <c r="E60" s="20"/>
      <c r="F60" s="20"/>
      <c r="G60" s="58"/>
      <c r="H60" s="15"/>
      <c r="I60" s="54"/>
      <c r="J60" s="15"/>
      <c r="K60" s="54"/>
    </row>
    <row r="61" spans="1:11" x14ac:dyDescent="0.25">
      <c r="A61" s="22" t="s">
        <v>42</v>
      </c>
      <c r="B61" s="29"/>
      <c r="C61" s="29"/>
      <c r="D61" s="29"/>
      <c r="E61" s="29"/>
      <c r="F61" s="29"/>
      <c r="G61" s="57">
        <f>SUM(G52:G59)</f>
        <v>146.38999999999999</v>
      </c>
      <c r="H61" s="14"/>
      <c r="I61" s="57">
        <f>SUM(I52:I57)</f>
        <v>6.8695000000000004</v>
      </c>
      <c r="J61" s="14"/>
      <c r="K61" s="57">
        <f>SUM(K52:K57)</f>
        <v>0</v>
      </c>
    </row>
    <row r="62" spans="1:11" x14ac:dyDescent="0.25">
      <c r="A62" s="20"/>
      <c r="B62" s="20"/>
      <c r="C62" s="20"/>
      <c r="D62" s="20"/>
      <c r="E62" s="20"/>
      <c r="F62" s="20"/>
      <c r="G62" s="20"/>
      <c r="I62" s="20"/>
      <c r="K62" s="20"/>
    </row>
    <row r="63" spans="1:11" x14ac:dyDescent="0.25">
      <c r="A63" s="27" t="s">
        <v>43</v>
      </c>
      <c r="B63" s="28"/>
      <c r="C63" s="28"/>
      <c r="D63" s="28"/>
      <c r="E63" s="28"/>
      <c r="F63" s="28"/>
      <c r="G63" s="28"/>
      <c r="H63" s="16"/>
      <c r="I63" s="28"/>
      <c r="J63" s="16"/>
      <c r="K63" s="28"/>
    </row>
    <row r="64" spans="1:11" x14ac:dyDescent="0.25">
      <c r="A64" s="20"/>
      <c r="B64" s="20"/>
      <c r="C64" s="20"/>
      <c r="D64" s="20"/>
      <c r="E64" s="20"/>
      <c r="F64" s="20"/>
      <c r="G64" s="20"/>
      <c r="I64" s="20"/>
      <c r="K64" s="20"/>
    </row>
    <row r="65" spans="1:11" x14ac:dyDescent="0.25">
      <c r="A65" s="20" t="s">
        <v>44</v>
      </c>
      <c r="B65" s="20"/>
      <c r="C65" s="53"/>
      <c r="D65" s="55">
        <f>D32</f>
        <v>575.36</v>
      </c>
      <c r="E65" s="53"/>
      <c r="F65" s="20"/>
      <c r="G65" s="20"/>
      <c r="I65" s="20"/>
      <c r="K65" s="20"/>
    </row>
    <row r="66" spans="1:11" x14ac:dyDescent="0.25">
      <c r="A66" s="20" t="s">
        <v>45</v>
      </c>
      <c r="B66" s="20"/>
      <c r="C66" s="53"/>
      <c r="D66" s="59" t="str">
        <f>CONCATENATE( D34, " HR")</f>
        <v>7.5 HR</v>
      </c>
      <c r="E66" s="53"/>
      <c r="F66" s="20"/>
      <c r="G66" s="20"/>
      <c r="I66" s="20"/>
      <c r="K66" s="20"/>
    </row>
    <row r="67" spans="1:11" x14ac:dyDescent="0.25">
      <c r="A67" s="20"/>
      <c r="B67" s="20"/>
      <c r="C67" s="53"/>
      <c r="D67" s="53"/>
      <c r="E67" s="53"/>
      <c r="F67" s="20"/>
      <c r="G67" s="20"/>
      <c r="I67" s="20"/>
      <c r="K67" s="20"/>
    </row>
    <row r="68" spans="1:11" x14ac:dyDescent="0.25">
      <c r="A68" s="20"/>
      <c r="B68" s="20"/>
      <c r="C68" s="68" t="str">
        <f>CONCATENATE("Po= So / Ht = ",D32," / ",D34," = ")</f>
        <v xml:space="preserve">Po= So / Ht = 575.36 / 7.5 = </v>
      </c>
      <c r="D68" s="69"/>
      <c r="E68" s="69"/>
      <c r="F68" s="20"/>
      <c r="G68" s="55">
        <f>D30</f>
        <v>76.714666666666673</v>
      </c>
      <c r="H68" s="32">
        <v>1</v>
      </c>
      <c r="I68" s="54">
        <f>IF(G68="","",G68*H68)</f>
        <v>76.714666666666673</v>
      </c>
      <c r="J68" s="32">
        <v>1</v>
      </c>
      <c r="K68" s="54">
        <f>IF(G68="","",J68*G68)</f>
        <v>76.714666666666673</v>
      </c>
    </row>
    <row r="69" spans="1:11" x14ac:dyDescent="0.25">
      <c r="A69" s="20"/>
      <c r="B69" s="20"/>
      <c r="C69" s="20"/>
      <c r="D69" s="20"/>
      <c r="E69" s="20"/>
      <c r="F69" s="20"/>
      <c r="G69" s="53"/>
      <c r="I69" s="53"/>
      <c r="K69" s="53"/>
    </row>
    <row r="70" spans="1:11" x14ac:dyDescent="0.25">
      <c r="A70" s="22" t="s">
        <v>46</v>
      </c>
      <c r="B70" s="29"/>
      <c r="C70" s="29"/>
      <c r="D70" s="29"/>
      <c r="E70" s="29"/>
      <c r="F70" s="29"/>
      <c r="G70" s="57">
        <f>SUM(G68)</f>
        <v>76.714666666666673</v>
      </c>
      <c r="H70" s="22"/>
      <c r="I70" s="57">
        <f>SUM(I68)</f>
        <v>76.714666666666673</v>
      </c>
      <c r="J70" s="22"/>
      <c r="K70" s="57">
        <f>SUM(K68)</f>
        <v>76.714666666666673</v>
      </c>
    </row>
    <row r="71" spans="1:11" ht="9.6" customHeight="1" x14ac:dyDescent="0.25">
      <c r="A71" s="26"/>
      <c r="B71" s="26"/>
      <c r="C71" s="26"/>
      <c r="D71" s="26"/>
      <c r="E71" s="26"/>
      <c r="F71" s="26"/>
      <c r="G71" s="56"/>
      <c r="H71" s="26"/>
      <c r="I71" s="56"/>
      <c r="J71" s="26"/>
      <c r="K71" s="56"/>
    </row>
    <row r="72" spans="1:11" ht="15.75" thickBot="1" x14ac:dyDescent="0.3">
      <c r="A72" s="30" t="s">
        <v>47</v>
      </c>
      <c r="B72" s="31"/>
      <c r="C72" s="31"/>
      <c r="D72" s="31"/>
      <c r="E72" s="31"/>
      <c r="F72" s="31"/>
      <c r="G72" s="60">
        <f>G70+G61+G48</f>
        <v>457.2479166666667</v>
      </c>
      <c r="H72" s="30"/>
      <c r="I72" s="60">
        <f>I70+I61+I48</f>
        <v>301.56741666666665</v>
      </c>
      <c r="J72" s="30"/>
      <c r="K72" s="60">
        <f>K70+K61+K48</f>
        <v>156.32791666666668</v>
      </c>
    </row>
    <row r="74" spans="1:11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</row>
  </sheetData>
  <sheetProtection algorithmName="SHA-512" hashValue="oFWTKCstx+upu1ChJhC6fHOfiRTXcKDMIIz5zjsh2L2npeucIQspKT118jdFWYbAyZHvlKzA/sGZ0YPfXlFisw==" saltValue="ZsY5zVIuSFoNXGaphZI/8w==" spinCount="100000" sheet="1" objects="1" scenarios="1"/>
  <dataConsolidate/>
  <mergeCells count="9">
    <mergeCell ref="A75:K75"/>
    <mergeCell ref="A1:K1"/>
    <mergeCell ref="A3:K3"/>
    <mergeCell ref="A4:K4"/>
    <mergeCell ref="C68:E68"/>
    <mergeCell ref="A74:K74"/>
    <mergeCell ref="B5:E5"/>
    <mergeCell ref="B6:E6"/>
    <mergeCell ref="B7:E7"/>
  </mergeCells>
  <dataValidations disablePrompts="1" count="1">
    <dataValidation type="list" allowBlank="1" showInputMessage="1" showErrorMessage="1" sqref="H7">
      <formula1>$M$12:$M$14</formula1>
    </dataValidation>
  </dataValidations>
  <hyperlinks>
    <hyperlink ref="A1" r:id="rId1"/>
  </hyperlinks>
  <printOptions horizontalCentered="1"/>
  <pageMargins left="0.23622047244094491" right="0.23622047244094491" top="0.39370078740157483" bottom="0.74803149606299213" header="0.31496062992125984" footer="0.31496062992125984"/>
  <pageSetup paperSize="9" scale="62" orientation="portrait" r:id="rId2"/>
  <headerFooter>
    <oddFooter>&amp;C&amp;"-,Negrita"&amp;14www.elpreciounitario.com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 DE USO</vt:lpstr>
      <vt:lpstr>COSTO HORARIO</vt:lpstr>
      <vt:lpstr>'COSTO HORARIO'!Área_de_impresión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2017-01-12T00:34:23Z</cp:lastPrinted>
  <dcterms:created xsi:type="dcterms:W3CDTF">2015-01-27T17:36:28Z</dcterms:created>
  <dcterms:modified xsi:type="dcterms:W3CDTF">2018-01-03T06:54:23Z</dcterms:modified>
</cp:coreProperties>
</file>